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819F6D12-34F1-B14E-97A5-1B3284AC2C21}" xr6:coauthVersionLast="47" xr6:coauthVersionMax="47" xr10:uidLastSave="{00000000-0000-0000-0000-000000000000}"/>
  <bookViews>
    <workbookView xWindow="3480" yWindow="182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<sst xmlns="http://schemas.openxmlformats.org/spreadsheetml/2006/main" count="520" uniqueCount="267">
  <si>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</si>
  <si>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</si>
  <si>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</si>
  <si>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</si>
  <si>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</si>
  <si>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</si>
  <si>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</si>
  <si>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</si>
  <si>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</si>
  <si>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</si>
  <si>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</si>
  <si>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</si>
  <si>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</si>
  <si>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</si>
  <si>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</si>
  <si>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</si>
  <si>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</si>
  <si>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</si>
  <si>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</si>
  <si>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</si>
  <si>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</si>
  <si>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</si>
  <si>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</si>
  <si>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</si>
  <si>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</si>
  <si>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</si>
  <si>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</si>
  <si>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</si>
  <si>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</si>
  <si>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</si>
  <si>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</si>
  <si>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</si>
  <si>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</si>
  <si>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</si>
  <si>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</si>
  <si>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</si>
  <si>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</si>
  <si>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</si>
  <si>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</si>
  <si>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</si>
  <si>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</si>
  <si>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</si>
  <si>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</si>
  <si>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</si>
  <si>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</si>
  <si>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</si>
  <si>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</si>
  <si>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</si>
  <si>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</si>
  <si>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</si>
  <si>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</si>
  <si>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</si>
  <si>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</si>
  <si>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</si>
  <si>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</si>
  <si>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</si>
  <si>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</si>
  <si>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</si>
  <si>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</si>
  <si>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</si>
  <si>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</si>
  <si>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</si>
  <si>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</si>
  <si>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</si>
  <si>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</si>
  <si>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</si>
  <si>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</si>
  <si>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</si>
  <si>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</si>
  <si>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</si>
  <si>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</si>
  <si>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</si>
  <si>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</si>
  <si>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</si>
  <si>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</si>
  <si>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</si>
  <si>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</si>
  <si>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</si>
  <si>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</si>
  <si>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</si>
  <si>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</si>
  <si>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</si>
  <si>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</si>
  <si>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</si>
  <si>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</si>
  <si>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</si>
  <si>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</si>
  <si>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</si>
  <si>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</si>
  <si>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</si>
  <si>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</si>
  <si>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</si>
  <si>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</si>
  <si>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</si>
  <si>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</si>
  <si>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</si>
  <si>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</si>
  <si>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</si>
  <si>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</si>
  <si>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</si>
  <si>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</si>
  <si>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</si>
  <si>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</si>
  <si>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</si>
  <si>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</si>
  <si>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</si>
  <si>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</si>
  <si>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</si>
  <si>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</si>
  <si>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</si>
  <si>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</si>
  <si>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</si>
  <si>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</si>
  <si>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</si>
  <si>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</si>
  <si>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</si>
  <si>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</si>
  <si>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</si>
  <si>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</si>
  <si>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</si>
  <si>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</si>
  <si>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</si>
  <si>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</si>
  <si>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</si>
  <si>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</si>
  <si>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</si>
  <si>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</si>
  <si>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</si>
  <si>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</si>
  <si>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</si>
  <si>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</si>
  <si>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</si>
  <si>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</si>
  <si>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</si>
  <si>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</si>
  <si>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</si>
  <si>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</si>
  <si>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</si>
  <si>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</si>
  <si>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</si>
  <si>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</si>
  <si>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</si>
  <si>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</si>
  <si>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</si>
  <si>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</si>
  <si>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</si>
  <si>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</si>
  <si>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</si>
  <si>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</si>
  <si>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</si>
  <si>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</si>
  <si>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</si>
  <si>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</si>
  <si>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</si>
  <si>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</si>
  <si>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</si>
  <si>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</si>
  <si>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</si>
  <si>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</si>
  <si>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</si>
  <si>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</si>
  <si>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</si>
  <si>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</si>
  <si>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</si>
  <si>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</si>
  <si>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</si>
  <si>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</si>
  <si>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</si>
  <si>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</si>
  <si>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</si>
  <si>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</si>
  <si>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</si>
  <si>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</si>
  <si>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</si>
  <si>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</si>
  <si>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</si>
  <si>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</si>
  <si>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</si>
  <si>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</si>
  <si>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</si>
  <si>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</si>
  <si>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</si>
  <si>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</si>
  <si>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</si>
  <si>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</si>
  <si>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</si>
  <si>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</si>
  <si>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</si>
  <si>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</si>
  <si>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</si>
  <si>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</si>
  <si>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</si>
  <si>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</si>
  <si>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</si>
  <si>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</si>
  <si>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</si>
  <si>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</si>
  <si>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</si>
  <si>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</si>
  <si>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</si>
  <si>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</si>
  <si>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</si>
  <si>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</si>
  <si>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</si>
  <si>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</si>
  <si>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</si>
  <si>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</si>
  <si>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</si>
  <si>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</si>
  <si>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</si>
  <si>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</si>
  <si>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</si>
  <si>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</si>
  <si>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</si>
  <si>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</si>
  <si>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</si>
  <si>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</si>
  <si>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</si>
  <si>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</si>
  <si>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</si>
  <si>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</si>
  <si>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</si>
  <si>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</si>
  <si>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</si>
  <si>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</si>
  <si>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</si>
  <si>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</si>
  <si>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</si>
  <si>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</si>
  <si>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</si>
  <si>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</si>
  <si>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</si>
  <si>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</si>
  <si>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</si>
  <si>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</si>
  <si>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</si>
  <si>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</si>
  <si>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</si>
  <si>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</si>
  <si>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</si>
  <si>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</si>
  <si>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</si>
  <si>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</si>
  <si>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</si>
  <si>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</si>
  <si>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</si>
  <si>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</si>
  <si>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</si>
  <si>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</si>
  <si>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</si>
  <si>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</si>
  <si>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</si>
  <si>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</si>
  <si>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</si>
  <si>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</si>
  <si>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</si>
  <si>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</si>
  <si>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</si>
  <si>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</si>
  <si>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</si>
  <si>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</si>
  <si>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</si>
  <si>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</si>
  <si>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</si>
  <si>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</si>
  <si>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</si>
  <si>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17,6,18,30,16,28,29,32,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</si>
</sst>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17,6,18,30,16,28,29,32,,,,,,,,,,,,,,,,,,,,,,,,,,,,,,,,,,,,,,,,,,,,,,,,,,,,,,,,,,,,,,,,,,,,,,,,,,,,,,,,,,,,,,,,,,,,,,,,,,,,,,,,,,,,,,,,,,,,,,,,,,,,,,,,,,,,,,,,,,,,,,,,,,,,,,,,,,,,,,,,,,,,,,,,,,,,,,,,,,</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9</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209.09 and   ?%  off best known sol.  Check sum: index sum in cell HI1 = 176 vs. sum of 1,…,n = 528; Overcapacity = 0. No. of stops = 8 feasibility = 1</v>
      </c>
      <c r="HS1" s="215" t="s">
        <v>262</v>
      </c>
      <c r="HT1" s="514" t="str">
        <f>SUBSTITUTE(SUBSTITUTE(","&amp;HI1,","&amp;MID(HS1,1,FIND(",",HS1)-1)&amp;",",",*****"&amp;MID(HS1,1,FIND(",",HS1)-1)&amp;","),    ","&amp;MID(HS1,FIND(",",HS1)+1,LEN(HS1)-FIND(",",HS1))&amp;",",",*****"&amp;MID(HS1,FIND(",",HS1)+1,LEN(HS1)-FIND(",",HS1))&amp;",")</f>
        <v>,17,6,18,30,16,28,29,32,</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17,6,18,30,16,28,29,32,,,,,,,,,,,,,,,,,,,,,,,,,,,,,,,,,,,,,,,,,,,,,,,,,,,,,,,,,,,,,,,,,,,,,,,,,,,,,,,,,,,,,,,,,,,,,,,,,,,,,,,,,,,,,,,,,,,,,,,,,,,,,,,,,,,,,,,,,,,,,,,,,,,,,,,,,,,,,,,,,,,,,,,,,,,,,,,,,,,</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75.680000000000007</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76.09  1  13</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76.09 with overcapacity = 99999 for index pair 1,13</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81.4 for index pair 9,1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209.08999999999997</v>
      </c>
      <c r="J4" s="12">
        <f ca="1">SUM(J6:J20)</f>
        <v>10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75.68 at i=  1</v>
      </c>
      <c r="GX4" s="465" t="str">
        <f>IF(MID(GW4,1,4)="No b","NBR or NFS",TRIM(MID(GW4,FIND("i=",GW4)+2,5)))</f>
        <v>1</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8</v>
      </c>
      <c r="HQ4" s="379">
        <f>SUM(HQ6:HQ20)</f>
        <v>209.08999999999997</v>
      </c>
      <c r="HR4" s="380">
        <f ca="1">IF(SUM(HR6:HR20)=0,"-",SUM(HR6:HR20))</f>
        <v>10</v>
      </c>
      <c r="HS4" s="381">
        <f>'Vehicle site info'!$F$5</f>
        <v>100</v>
      </c>
      <c r="HT4" s="10"/>
      <c r="HU4" s="274" t="s">
        <v>261</v>
      </c>
      <c r="HV4" s="272">
        <f>IF(AND(ISNUMBER(HW4),HV3&lt;=HP4),MATCH(_xlfn.MINIFS(IE6:IE182,IE6:IE182,"&lt;&gt;99999"),IE6:IE182,0),"-")</f>
        <v>6</v>
      </c>
      <c r="HW4" s="384">
        <f>IF(AND(MIN(IE6:IE190)&lt;&gt;99999,MIN(IE6:IE190)&lt;&gt;0),MIN(IE6:IE190),"NFS"&amp;" "&amp;"  over cap = "&amp;HT21)</f>
        <v>76.98</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209.09,10,0,0</v>
      </c>
      <c r="HB5" s="103"/>
      <c r="HC5" s="55"/>
      <c r="HD5" s="219" t="s">
        <v>26</v>
      </c>
      <c r="HE5" s="413" t="s">
        <v>51</v>
      </c>
      <c r="HF5" s="55" t="s">
        <v>21</v>
      </c>
      <c r="HG5" s="104" t="s">
        <v>35</v>
      </c>
      <c r="HH5" s="105">
        <f>_xlfn.MINIFS(HD6:HD190,HE6:HE190,0)</f>
        <v>75.680000000000007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19</v>
      </c>
      <c r="HX5" s="50" t="s">
        <v>62</v>
      </c>
      <c r="HY5" s="55" t="str">
        <f ca="1">IF(ISNUMBER(HQ4),HQ4&amp;","&amp;MAX(HR6:HR20)&amp;","&amp;HS6&amp;","&amp;HM4,"")</f>
        <v>209.09,10,0,1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17</v>
      </c>
      <c r="E6" s="164">
        <f>IF(ISNUMBER(D6),IF(C6&lt;&gt;C5,INDEX($M$6:$CJ$80,1,D6+1),INDEX($M$6:$CJ$80,MIN(D6,D5)+1,MAX(D6,D5)+1))+IF(C6&lt;&gt;C7,INDEX($M$6:$CJ$80,1,D6+1),0),"")</f>
        <v>21.83</v>
      </c>
      <c r="F6" s="1">
        <f ca="1">IF(ISNUMBER(D6),OFFSET($A$5,D6,0),"")</f>
        <v>1.25</v>
      </c>
      <c r="G6" s="1">
        <v>1</v>
      </c>
      <c r="H6" s="192">
        <v>32</v>
      </c>
      <c r="I6" s="425">
        <f>IF(H6&gt;0,SUMIF($C$6:$C$80,G6,$E$6:$E$80),"")</f>
        <v>209.08999999999997</v>
      </c>
      <c r="J6" s="189">
        <f ca="1">IF(H6&gt;0,SUMIF($C$6:$C$80,G6,$F$6:$F$80),"")</f>
        <v>10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75.68,10,0,0</v>
      </c>
      <c r="HB6" s="107">
        <f>FIND(CHAR(1),SUBSTITUTE(HA6,",",CHAR(1),1))</f>
        <v>6</v>
      </c>
      <c r="HC6" s="56">
        <f>FIND(CHAR(1),SUBSTITUTE(HA6,",",CHAR(1),2))</f>
        <v>9</v>
      </c>
      <c r="HD6" s="108">
        <f t="shared" ref="HD6:HD37" si="0">_xlfn.NUMBERVALUE(IF(AND(GX6&lt;=$GV$1-1,HE6&lt;=$L$2),_xlfn.NUMBERVALUE(MID(HA6,1,HB6-1)),99999))</f>
        <v>75.680000000000007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17</v>
      </c>
      <c r="HM6" s="108" cm="1">
        <f t="array" ref="HM6">IF(HJ6&lt;=$HH$1-1,IF(HK6&lt;&gt;HK5,INDEX($M$6:$GP$190,1,HL6+1),INDEX($M$6:$GP$190,MIN(HL6,HL5)+1,MAX(HL6,HL5)+1))+IF(HK6&lt;&gt;HK7,INDEX($M$6:$GP$190,1,HL6+1),0),"")</f>
        <v>21.83</v>
      </c>
      <c r="HN6" s="280" t="str">
        <f ca="1">IF(ISNUMBER(HL6),'Vehicle site info'!AK9,"")</f>
        <v>8:52 AM, 7:00 AM, 1</v>
      </c>
      <c r="HO6" s="29">
        <v>1</v>
      </c>
      <c r="HP6" s="310">
        <v>8</v>
      </c>
      <c r="HQ6" s="85">
        <f>IF(ISNUMBER(HP6),SUMIF($HK$6:$HK$190,HO6,$HM$6:$HM$190),"")</f>
        <v>209.08999999999997</v>
      </c>
      <c r="HR6" s="198">
        <f ca="1">IF(ISNUMBER(HK6),'Vehicle site info'!J9,"")</f>
        <v>10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75.68 at i=  1</v>
      </c>
      <c r="IH6" s="30">
        <f>IF(OR(IF6=99999,ISERROR(FIND("Feasible",IG6,1))),99999,_xlfn.NUMBERVALUE(FIND("at",IG6,1)-FIND("distance =",IG6,1)-12))</f>
        <v>5</v>
      </c>
      <c r="II6" s="108">
        <f>IF(AND(IF6&lt;&gt;99999,MID(IG6,1,4)&lt;&gt;"No b"),_xlfn.NUMBERVALUE(MID(IG6,FIND("=",IG6,1)+2,IH6)),99999)</f>
        <v>75.680000000000007</v>
      </c>
      <c r="IJ6" s="133" t="str">
        <f ca="1">IF(IF6=99999,"-",IF($GV$3&lt;&gt;IF6,IJ6,$GW$5))</f>
        <v>Reposition index 1 to the left of index 18</v>
      </c>
      <c r="IK6" s="84">
        <v>1</v>
      </c>
      <c r="IL6" s="429">
        <f ca="1">IF(OR(MIN($II$6:$II$190)=99999,MIN($II$6:$II$190)=0),"-",MIN($II$6:$II$190))</f>
        <v>75.680000000000007</v>
      </c>
      <c r="IM6" s="151">
        <f t="shared" ref="IM6:IM13" ca="1" si="1">IF(IL6="-","-",MATCH(IL6,$II$6:$II$190,0))</f>
        <v>1</v>
      </c>
      <c r="IN6" s="152" t="str">
        <f ca="1">IF(IM6="-","-",OFFSET($IJ$5,IM6,0))</f>
        <v>Reposition index 1 to the left of index 18</v>
      </c>
      <c r="IO6" s="141">
        <f t="shared" ref="IO6:IO25" si="2">IF(HU6&lt;=$J$2,HU6,99999)</f>
        <v>1</v>
      </c>
      <c r="IP6" s="71">
        <f>IF(IO6&lt;99999,IF($HV$3&lt;&gt;IO6,IP6, $HV$4),99999)</f>
        <v>6</v>
      </c>
      <c r="IQ6" s="385">
        <f t="shared" ref="IQ6:IQ37" si="3">IF(IO6=99999,"-", IF($HV$3&lt;&gt;IO6,IQ6, $HW$4))</f>
        <v>76.98</v>
      </c>
      <c r="IR6" s="386">
        <f>IF(ISNUMBER(IQ6),IQ6,99999)</f>
        <v>76.98</v>
      </c>
      <c r="IS6" s="75">
        <v>1</v>
      </c>
      <c r="IT6" s="383">
        <f ca="1">IF(MIN($IR$6:$IR$190)=99999,"-",MIN($IR$6:$IR$190))</f>
        <v>76.98</v>
      </c>
      <c r="IU6" s="143">
        <f ca="1">IF(OR(IT6="-",IT6=0,IT6=99999),"-",MATCH(IT6,$IQ$6:$IQ$190,0))</f>
        <v>1</v>
      </c>
      <c r="IV6" s="75" t="str">
        <f ca="1">IF(IU6="-","-",OFFSET($IO$5,IU6,0)&amp;" and "&amp;OFFSET($IP$5,IU6,0))</f>
        <v>1 and 6</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6</v>
      </c>
      <c r="E7" s="18">
        <f t="shared" ref="E7:E70" si="6">IF(ISNUMBER(D7),IF(C7&lt;&gt;C6,INDEX($M$6:$CJ$80,1,D7+1),INDEX($M$6:$CJ$80,MIN(D7,D6)+1,MAX(D7,D6)+1))+IF(C7&lt;&gt;C8,INDEX($M$6:$CJ$80,1,D7+1),0),"")</f>
        <v>29.8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102.71,10,0,0</v>
      </c>
      <c r="HB7" s="107">
        <f t="shared" ref="HB7:HB54" si="11">FIND(CHAR(1),SUBSTITUTE(HA7,",",CHAR(1),1))</f>
        <v>7</v>
      </c>
      <c r="HC7" s="56">
        <f t="shared" ref="HC7:HC54" si="12">FIND(CHAR(1),SUBSTITUTE(HA7,",",CHAR(1),2))</f>
        <v>10</v>
      </c>
      <c r="HD7" s="108">
        <f t="shared" si="0"/>
        <v>102.71</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5</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6</v>
      </c>
      <c r="HM7" s="108" cm="1">
        <f t="array" ref="HM7">IF(HJ7&lt;=$HH$1-1,IF(HK7&lt;&gt;HK6,INDEX($M$6:$GP$190,1,HL7+1),INDEX($M$6:$GP$190,MIN(HL7,HL6)+1,MAX(HL7,HL6)+1))+IF(HK7&lt;&gt;HK8,INDEX($M$6:$GP$190,1,HL7+1),0),"")</f>
        <v>29.8</v>
      </c>
      <c r="HN7" s="280" t="str">
        <f ca="1">IF(ISNUMBER(HL7),'Vehicle site info'!AK10,"")</f>
        <v>10:03 AM, 10:00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81.4,10,0,0</v>
      </c>
      <c r="HZ7" s="75">
        <f t="shared" ref="HZ7:HZ54" si="23">FIND(CHAR(1),SUBSTITUTE(HY7,",",CHAR(1),1))</f>
        <v>5</v>
      </c>
      <c r="IA7" s="75">
        <f t="shared" ref="IA7:IA54" si="24">FIND(CHAR(1),SUBSTITUTE(HY7,",",CHAR(1),2))</f>
        <v>8</v>
      </c>
      <c r="IB7" s="387">
        <f t="shared" ref="IB7:IB39" si="25">_xlfn.NUMBERVALUE(IF(AND(HU7&lt;&gt;$HV$3,HU7&lt;=32),_xlfn.NUMBERVALUE(MID(HY7,1,HZ7-1)),99999))</f>
        <v>81.400000000000006</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81.400000000000006</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35.64</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102.9,10,0,0</v>
      </c>
      <c r="HB8" s="107">
        <f t="shared" si="11"/>
        <v>6</v>
      </c>
      <c r="HC8" s="56">
        <f t="shared" si="12"/>
        <v>9</v>
      </c>
      <c r="HD8" s="108">
        <f t="shared" si="0"/>
        <v>102.9</v>
      </c>
      <c r="HE8" s="219">
        <f t="shared" si="13"/>
        <v>0</v>
      </c>
      <c r="HF8" s="55">
        <f t="shared" si="14"/>
        <v>0</v>
      </c>
      <c r="HG8" s="108" t="str">
        <f t="shared" si="15"/>
        <v>FEAS.</v>
      </c>
      <c r="HH8" s="85">
        <f t="shared" si="16"/>
        <v>0</v>
      </c>
      <c r="HI8" s="106">
        <f t="shared" si="17"/>
        <v>8</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35.64</v>
      </c>
      <c r="HN8" s="280" t="str">
        <f ca="1">IF(ISNUMBER(HL8),'Vehicle site info'!AK11,"")</f>
        <v>11:29 AM, 7:30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81.4,10,0,0</v>
      </c>
      <c r="HZ8" s="75">
        <f t="shared" si="23"/>
        <v>5</v>
      </c>
      <c r="IA8" s="75">
        <f t="shared" si="24"/>
        <v>8</v>
      </c>
      <c r="IB8" s="387">
        <f t="shared" si="25"/>
        <v>81.400000000000006</v>
      </c>
      <c r="IC8" s="143">
        <f t="shared" si="26"/>
        <v>0</v>
      </c>
      <c r="ID8" s="75">
        <f>_xlfn.NUMBERVALUE(IF(AND(HU8&lt;&gt;$HV$3,HU8&lt;=$HP$4),MID(TRIM(HY8),IA8+1,FIND("*",SUBSTITUTE(HY8,",","*",3))-IA8),99999))</f>
        <v>0</v>
      </c>
      <c r="IE8" s="76">
        <f t="shared" si="27"/>
        <v>81.400000000000006</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30</v>
      </c>
      <c r="E9" s="18">
        <f t="shared" si="6"/>
        <v>28.78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86.72,10,0,0</v>
      </c>
      <c r="HB9" s="107">
        <f t="shared" si="11"/>
        <v>6</v>
      </c>
      <c r="HC9" s="56">
        <f t="shared" si="12"/>
        <v>9</v>
      </c>
      <c r="HD9" s="108">
        <f t="shared" si="0"/>
        <v>86.72</v>
      </c>
      <c r="HE9" s="219">
        <f t="shared" si="13"/>
        <v>0</v>
      </c>
      <c r="HF9" s="55">
        <f t="shared" si="14"/>
        <v>0</v>
      </c>
      <c r="HG9" s="108" t="str">
        <f t="shared" si="15"/>
        <v>FEAS.</v>
      </c>
      <c r="HH9" s="85">
        <f t="shared" si="16"/>
        <v>0</v>
      </c>
      <c r="HI9" s="106">
        <f t="shared" si="17"/>
        <v>11</v>
      </c>
      <c r="HJ9" s="29">
        <v>4</v>
      </c>
      <c r="HK9" s="85">
        <f t="shared" si="18"/>
        <v>1</v>
      </c>
      <c r="HL9" s="85">
        <f t="shared" si="40"/>
        <v>30</v>
      </c>
      <c r="HM9" s="108" cm="1">
        <f t="array" ref="HM9">IF(HJ9&lt;=$HH$1-1,IF(HK9&lt;&gt;HK8,INDEX($M$6:$GP$190,1,HL9+1),INDEX($M$6:$GP$190,MIN(HL9,HL8)+1,MAX(HL9,HL8)+1))+IF(HK9&lt;&gt;HK10,INDEX($M$6:$GP$190,1,HL9+1),0),"")</f>
        <v>28.78</v>
      </c>
      <c r="HN9" s="280" t="str">
        <f ca="1">IF(ISNUMBER(HL9),'Vehicle site info'!AK12,"")</f>
        <v>12:38 PM, 6:00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81.4,10,0,0</v>
      </c>
      <c r="HZ9" s="75">
        <f t="shared" si="23"/>
        <v>5</v>
      </c>
      <c r="IA9" s="75">
        <f t="shared" si="24"/>
        <v>8</v>
      </c>
      <c r="IB9" s="387">
        <f t="shared" si="25"/>
        <v>81.400000000000006</v>
      </c>
      <c r="IC9" s="143">
        <f t="shared" si="26"/>
        <v>0</v>
      </c>
      <c r="ID9" s="75">
        <f>_xlfn.NUMBERVALUE(IF(AND(HU9&lt;&gt;$HV$3,HU9&lt;=$HP$4),MID(TRIM(HY9),IA9+1,FIND("*",SUBSTITUTE(HY9,",","*",3))-IA9),99999))</f>
        <v>0</v>
      </c>
      <c r="IE9" s="76">
        <f t="shared" si="27"/>
        <v>81.400000000000006</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16</v>
      </c>
      <c r="E10" s="18">
        <f t="shared" si="6"/>
        <v>25.93</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102.38,10,0,0</v>
      </c>
      <c r="HB10" s="107">
        <f t="shared" si="11"/>
        <v>7</v>
      </c>
      <c r="HC10" s="56">
        <f t="shared" si="12"/>
        <v>10</v>
      </c>
      <c r="HD10" s="108">
        <f t="shared" si="0"/>
        <v>102.38</v>
      </c>
      <c r="HE10" s="219">
        <f t="shared" si="13"/>
        <v>0</v>
      </c>
      <c r="HF10" s="55">
        <f t="shared" si="14"/>
        <v>0</v>
      </c>
      <c r="HG10" s="108" t="str">
        <f t="shared" si="15"/>
        <v>FEAS.</v>
      </c>
      <c r="HH10" s="85">
        <f t="shared" si="16"/>
        <v>0</v>
      </c>
      <c r="HI10" s="106">
        <f t="shared" si="17"/>
        <v>14</v>
      </c>
      <c r="HJ10" s="29">
        <v>5</v>
      </c>
      <c r="HK10" s="85">
        <f t="shared" si="18"/>
        <v>1</v>
      </c>
      <c r="HL10" s="395">
        <f t="shared" si="40"/>
        <v>16</v>
      </c>
      <c r="HM10" s="108" cm="1">
        <f t="array" ref="HM10">IF(HJ10&lt;=$HH$1-1,IF(HK10&lt;&gt;HK9,INDEX($M$6:$GP$190,1,HL10+1),INDEX($M$6:$GP$190,MIN(HL10,HL9)+1,MAX(HL10,HL9)+1))+IF(HK10&lt;&gt;HK11,INDEX($M$6:$GP$190,1,HL10+1),0),"")</f>
        <v>25.93</v>
      </c>
      <c r="HN10" s="396" t="str">
        <f ca="1">IF(ISNUMBER(HL10),'Vehicle site info'!AK13,"")</f>
        <v>1:40 PM, 8:00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81.4,10,0,0</v>
      </c>
      <c r="HZ10" s="75">
        <f t="shared" si="23"/>
        <v>5</v>
      </c>
      <c r="IA10" s="75">
        <f t="shared" si="24"/>
        <v>8</v>
      </c>
      <c r="IB10" s="387">
        <f t="shared" si="25"/>
        <v>81.400000000000006</v>
      </c>
      <c r="IC10" s="143">
        <f t="shared" si="26"/>
        <v>0</v>
      </c>
      <c r="ID10" s="75">
        <f>_xlfn.NUMBERVALUE(IF(AND(HU10&lt;&gt;$HV$3,HU10&lt;=$HP$4),MID(TRIM(HY10),IA10+1,FIND("*",SUBSTITUTE(HY10,",","*",3))-IA10),99999))</f>
        <v>0</v>
      </c>
      <c r="IE10" s="76">
        <f t="shared" si="27"/>
        <v>81.400000000000006</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25.7</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85.1,10,0,0</v>
      </c>
      <c r="HB11" s="107">
        <f t="shared" si="11"/>
        <v>5</v>
      </c>
      <c r="HC11" s="56">
        <f t="shared" si="12"/>
        <v>8</v>
      </c>
      <c r="HD11" s="108">
        <f t="shared" si="0"/>
        <v>85.1</v>
      </c>
      <c r="HE11" s="219">
        <f t="shared" si="13"/>
        <v>0</v>
      </c>
      <c r="HF11" s="55">
        <f t="shared" si="14"/>
        <v>0</v>
      </c>
      <c r="HG11" s="108" t="str">
        <f t="shared" si="15"/>
        <v>FEAS.</v>
      </c>
      <c r="HH11" s="85">
        <f t="shared" si="16"/>
        <v>0</v>
      </c>
      <c r="HI11" s="106">
        <f t="shared" si="17"/>
        <v>17</v>
      </c>
      <c r="HJ11" s="29">
        <v>6</v>
      </c>
      <c r="HK11" s="85">
        <f t="shared" si="18"/>
        <v>1</v>
      </c>
      <c r="HL11" s="395">
        <f t="shared" si="40"/>
        <v>28</v>
      </c>
      <c r="HM11" s="108" cm="1">
        <f t="array" ref="HM11">IF(HJ11&lt;=$HH$1-1,IF(HK11&lt;&gt;HK10,INDEX($M$6:$GP$190,1,HL11+1),INDEX($M$6:$GP$190,MIN(HL11,HL10)+1,MAX(HL11,HL10)+1))+IF(HK11&lt;&gt;HK12,INDEX($M$6:$GP$190,1,HL11+1),0),"")</f>
        <v>25.7</v>
      </c>
      <c r="HN11" s="396" t="str">
        <f ca="1">IF(ISNUMBER(HL11),'Vehicle site info'!AK14,"")</f>
        <v>2:42 PM,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76.98,10,0,0</v>
      </c>
      <c r="HZ11" s="75">
        <f t="shared" si="23"/>
        <v>6</v>
      </c>
      <c r="IA11" s="75">
        <f t="shared" si="24"/>
        <v>9</v>
      </c>
      <c r="IB11" s="387">
        <f t="shared" si="25"/>
        <v>76.98</v>
      </c>
      <c r="IC11" s="143">
        <f t="shared" si="26"/>
        <v>0</v>
      </c>
      <c r="ID11" s="75">
        <f t="shared" ref="ID11:ID74" si="43">_xlfn.NUMBERVALUE(IF(AND(HU11&lt;&gt;$HV$3,HU11&lt;=$HP$4),MID(TRIM(HY11),IA11+1,FIND("*",SUBSTITUTE(HY11,",","*",3))-IA11),99999))</f>
        <v>0</v>
      </c>
      <c r="IE11" s="76">
        <f t="shared" si="27"/>
        <v>76.98</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29</v>
      </c>
      <c r="E12" s="18">
        <f>IF(ISNUMBER(D12),IF(C12&lt;&gt;C11,INDEX($M$6:$CJ$80,1,D12+1),INDEX($M$6:$CJ$80,MIN(D12,D11)+1,MAX(D12,D11)+1))+IF(C12&lt;&gt;C13,INDEX($M$6:$CJ$80,1,D12+1),0)," ")</f>
        <v>19.04</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80.01,10,0,0</v>
      </c>
      <c r="HB12" s="107">
        <f t="shared" si="11"/>
        <v>6</v>
      </c>
      <c r="HC12" s="56">
        <f t="shared" si="12"/>
        <v>9</v>
      </c>
      <c r="HD12" s="108">
        <f t="shared" si="0"/>
        <v>80.010000000000005</v>
      </c>
      <c r="HE12" s="219">
        <f t="shared" si="13"/>
        <v>0</v>
      </c>
      <c r="HF12" s="55">
        <f t="shared" si="14"/>
        <v>0</v>
      </c>
      <c r="HG12" s="108" t="str">
        <f t="shared" si="15"/>
        <v>FEAS.</v>
      </c>
      <c r="HH12" s="85">
        <f t="shared" si="16"/>
        <v>0</v>
      </c>
      <c r="HI12" s="106">
        <f t="shared" si="17"/>
        <v>20</v>
      </c>
      <c r="HJ12" s="29">
        <v>7</v>
      </c>
      <c r="HK12" s="85">
        <f t="shared" si="18"/>
        <v>1</v>
      </c>
      <c r="HL12" s="395">
        <f t="shared" si="40"/>
        <v>29</v>
      </c>
      <c r="HM12" s="108" cm="1">
        <f t="array" ref="HM12">IF(HJ12&lt;=$HH$1-1,IF(HK12&lt;&gt;HK11,INDEX($M$6:$GP$190,1,HL12+1),INDEX($M$6:$GP$190,MIN(HL12,HL11)+1,MAX(HL12,HL11)+1))+IF(HK12&lt;&gt;HK13,INDEX($M$6:$GP$190,1,HL12+1),0),"")</f>
        <v>19.04</v>
      </c>
      <c r="HN12" s="396" t="str">
        <f ca="1">IF(ISNUMBER(HL12),'Vehicle site info'!AK15,"")</f>
        <v>3:28 PM, 9:00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81.4,10,0,0</v>
      </c>
      <c r="HZ12" s="75">
        <f t="shared" si="23"/>
        <v>5</v>
      </c>
      <c r="IA12" s="75">
        <f t="shared" si="24"/>
        <v>8</v>
      </c>
      <c r="IB12" s="387">
        <f t="shared" si="25"/>
        <v>81.400000000000006</v>
      </c>
      <c r="IC12" s="143">
        <f t="shared" si="26"/>
        <v>0</v>
      </c>
      <c r="ID12" s="75">
        <f t="shared" si="43"/>
        <v>0</v>
      </c>
      <c r="IE12" s="76">
        <f t="shared" si="27"/>
        <v>81.400000000000006</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22.37</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79.24,10,0,0</v>
      </c>
      <c r="HB13" s="107">
        <f t="shared" si="11"/>
        <v>6</v>
      </c>
      <c r="HC13" s="56">
        <f t="shared" si="12"/>
        <v>9</v>
      </c>
      <c r="HD13" s="108">
        <f t="shared" si="0"/>
        <v>79.239999999999995</v>
      </c>
      <c r="HE13" s="219">
        <f t="shared" si="13"/>
        <v>0</v>
      </c>
      <c r="HF13" s="55">
        <f t="shared" si="14"/>
        <v>0</v>
      </c>
      <c r="HG13" s="108" t="str">
        <f t="shared" si="15"/>
        <v>FEAS.</v>
      </c>
      <c r="HH13" s="85">
        <f t="shared" si="16"/>
        <v>0</v>
      </c>
      <c r="HI13" s="106">
        <f t="shared" si="17"/>
        <v>23</v>
      </c>
      <c r="HJ13" s="29">
        <v>8</v>
      </c>
      <c r="HK13" s="85">
        <f t="shared" si="18"/>
        <v>1</v>
      </c>
      <c r="HL13" s="395">
        <f t="shared" si="40"/>
        <v>32</v>
      </c>
      <c r="HM13" s="108" cm="1">
        <f t="array" ref="HM13">IF(HJ13&lt;=$HH$1-1,IF(HK13&lt;&gt;HK12,INDEX($M$6:$GP$190,1,HL13+1),INDEX($M$6:$GP$190,MIN(HL13,HL12)+1,MAX(HL13,HL12)+1))+IF(HK13&lt;&gt;HK14,INDEX($M$6:$GP$190,1,HL13+1),0),"")</f>
        <v>22.37</v>
      </c>
      <c r="HN13" s="396" t="str">
        <f ca="1">IF(ISNUMBER(HL13),'Vehicle site info'!AK16,"")</f>
        <v>4:15 PM,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81.4,10,0,0</v>
      </c>
      <c r="HZ13" s="75">
        <f t="shared" si="23"/>
        <v>5</v>
      </c>
      <c r="IA13" s="75">
        <f t="shared" si="24"/>
        <v>8</v>
      </c>
      <c r="IB13" s="387">
        <f t="shared" si="25"/>
        <v>81.400000000000006</v>
      </c>
      <c r="IC13" s="143">
        <f t="shared" si="26"/>
        <v>0</v>
      </c>
      <c r="ID13" s="75">
        <f t="shared" si="43"/>
        <v>0</v>
      </c>
      <c r="IE13" s="76">
        <f t="shared" si="27"/>
        <v>81.400000000000006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75.75,10,0,0</v>
      </c>
      <c r="HB14" s="107">
        <f t="shared" si="11"/>
        <v>6</v>
      </c>
      <c r="HC14" s="56">
        <f t="shared" si="12"/>
        <v>9</v>
      </c>
      <c r="HD14" s="108">
        <f t="shared" si="0"/>
        <v>75.75</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81.4,10,0,0</v>
      </c>
      <c r="HZ14" s="75">
        <f t="shared" si="23"/>
        <v>5</v>
      </c>
      <c r="IA14" s="75">
        <f t="shared" si="24"/>
        <v>8</v>
      </c>
      <c r="IB14" s="387">
        <f t="shared" si="25"/>
        <v>81.400000000000006</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75.75,10,0,0</v>
      </c>
      <c r="HB15" s="107">
        <f t="shared" si="11"/>
        <v>6</v>
      </c>
      <c r="HC15" s="56">
        <f t="shared" si="12"/>
        <v>9</v>
      </c>
      <c r="HD15" s="108">
        <f t="shared" si="0"/>
        <v>75.75</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81.4,10,0,0</v>
      </c>
      <c r="HZ15" s="75">
        <f t="shared" si="23"/>
        <v>5</v>
      </c>
      <c r="IA15" s="75">
        <f t="shared" si="24"/>
        <v>8</v>
      </c>
      <c r="IB15" s="387">
        <f t="shared" si="25"/>
        <v>81.400000000000006</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75.75,10,0,0</v>
      </c>
      <c r="HB16" s="107">
        <f t="shared" si="11"/>
        <v>6</v>
      </c>
      <c r="HC16" s="56">
        <f t="shared" si="12"/>
        <v>9</v>
      </c>
      <c r="HD16" s="108">
        <f t="shared" si="0"/>
        <v>75.75</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81.4,10,0,0</v>
      </c>
      <c r="HZ16" s="75">
        <f t="shared" si="23"/>
        <v>5</v>
      </c>
      <c r="IA16" s="75">
        <f t="shared" si="24"/>
        <v>8</v>
      </c>
      <c r="IB16" s="387">
        <f t="shared" si="25"/>
        <v>81.400000000000006</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75.75,10,0,0</v>
      </c>
      <c r="HB17" s="107">
        <f t="shared" si="11"/>
        <v>6</v>
      </c>
      <c r="HC17" s="56">
        <f t="shared" si="12"/>
        <v>9</v>
      </c>
      <c r="HD17" s="108">
        <f t="shared" si="0"/>
        <v>75.75</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83.63,10,0,0</v>
      </c>
      <c r="HZ17" s="75">
        <f t="shared" si="23"/>
        <v>6</v>
      </c>
      <c r="IA17" s="75">
        <f t="shared" si="24"/>
        <v>9</v>
      </c>
      <c r="IB17" s="387">
        <f t="shared" si="25"/>
        <v>83.63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75.75,10,0,0</v>
      </c>
      <c r="HB18" s="107">
        <f t="shared" si="11"/>
        <v>6</v>
      </c>
      <c r="HC18" s="56">
        <f t="shared" si="12"/>
        <v>9</v>
      </c>
      <c r="HD18" s="108">
        <f t="shared" si="0"/>
        <v>75.75</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76.09,10,0,0</v>
      </c>
      <c r="HZ18" s="75">
        <f t="shared" si="23"/>
        <v>6</v>
      </c>
      <c r="IA18" s="75">
        <f t="shared" si="24"/>
        <v>9</v>
      </c>
      <c r="IB18" s="387">
        <f t="shared" si="25"/>
        <v>76.09</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75.75,10,0,0</v>
      </c>
      <c r="HB19" s="107">
        <f t="shared" si="11"/>
        <v>6</v>
      </c>
      <c r="HC19" s="56">
        <f t="shared" si="12"/>
        <v>9</v>
      </c>
      <c r="HD19" s="108">
        <f t="shared" si="0"/>
        <v>75.75</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81.4,10,0,0</v>
      </c>
      <c r="HZ19" s="75">
        <f t="shared" si="23"/>
        <v>5</v>
      </c>
      <c r="IA19" s="75">
        <f t="shared" si="24"/>
        <v>8</v>
      </c>
      <c r="IB19" s="387">
        <f t="shared" si="25"/>
        <v>81.400000000000006</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75.75,10,0,0</v>
      </c>
      <c r="HB20" s="107">
        <f t="shared" si="11"/>
        <v>6</v>
      </c>
      <c r="HC20" s="56">
        <f t="shared" si="12"/>
        <v>9</v>
      </c>
      <c r="HD20" s="108">
        <f t="shared" si="0"/>
        <v>75.75</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81.4,10,0,0</v>
      </c>
      <c r="HZ20" s="75">
        <f t="shared" si="23"/>
        <v>5</v>
      </c>
      <c r="IA20" s="75">
        <f t="shared" si="24"/>
        <v>8</v>
      </c>
      <c r="IB20" s="387">
        <f t="shared" si="25"/>
        <v>81.400000000000006</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209.08999999999997</v>
      </c>
      <c r="J21" s="191">
        <f ca="1">SUM(J6:J19)</f>
        <v>10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75.75,10,0,0</v>
      </c>
      <c r="HB21" s="107">
        <f t="shared" si="11"/>
        <v>6</v>
      </c>
      <c r="HC21" s="56">
        <f t="shared" si="12"/>
        <v>9</v>
      </c>
      <c r="HD21" s="108">
        <f t="shared" si="0"/>
        <v>75.75</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186.71999999999997</v>
      </c>
      <c r="HP21" s="125">
        <f>SUM(HP6:HP20)</f>
        <v>8</v>
      </c>
      <c r="HQ21" s="412">
        <f>SUM(HQ6:HQ20)</f>
        <v>209.08999999999997</v>
      </c>
      <c r="HR21" s="125" t="str">
        <f ca="1">SUM(HR6:HR20)&amp;" "&amp;SUM(A6:A190)</f>
        <v>10 40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102.65,10,0,0</v>
      </c>
      <c r="HZ21" s="75">
        <f t="shared" si="23"/>
        <v>7</v>
      </c>
      <c r="IA21" s="75">
        <f t="shared" si="24"/>
        <v>10</v>
      </c>
      <c r="IB21" s="387">
        <f t="shared" si="25"/>
        <v>102.65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75.75,10,0,0</v>
      </c>
      <c r="HB22" s="56">
        <f t="shared" si="11"/>
        <v>6</v>
      </c>
      <c r="HC22" s="56">
        <f t="shared" si="12"/>
        <v>9</v>
      </c>
      <c r="HD22" s="108">
        <f t="shared" si="0"/>
        <v>75.75</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93.36,10,0,0</v>
      </c>
      <c r="HZ22" s="75">
        <f t="shared" si="23"/>
        <v>6</v>
      </c>
      <c r="IA22" s="75">
        <f t="shared" si="24"/>
        <v>9</v>
      </c>
      <c r="IB22" s="387">
        <f t="shared" si="25"/>
        <v>93.36</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75.75,10,0,0</v>
      </c>
      <c r="HB23" s="56">
        <f t="shared" si="11"/>
        <v>6</v>
      </c>
      <c r="HC23" s="56">
        <f t="shared" si="12"/>
        <v>9</v>
      </c>
      <c r="HD23" s="108">
        <f t="shared" si="0"/>
        <v>75.75</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82.02,10,0,0</v>
      </c>
      <c r="HZ23" s="75">
        <f t="shared" si="23"/>
        <v>6</v>
      </c>
      <c r="IA23" s="75">
        <f t="shared" si="24"/>
        <v>9</v>
      </c>
      <c r="IB23" s="387">
        <f t="shared" si="25"/>
        <v>82.02</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75.75,10,0,0</v>
      </c>
      <c r="HB24" s="56">
        <f t="shared" si="11"/>
        <v>6</v>
      </c>
      <c r="HC24" s="56">
        <f t="shared" si="12"/>
        <v>9</v>
      </c>
      <c r="HD24" s="108">
        <f t="shared" si="0"/>
        <v>75.75</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81.4,10,0,0</v>
      </c>
      <c r="HZ24" s="75">
        <f t="shared" si="23"/>
        <v>5</v>
      </c>
      <c r="IA24" s="75">
        <f t="shared" si="24"/>
        <v>8</v>
      </c>
      <c r="IB24" s="387">
        <f t="shared" si="25"/>
        <v>81.400000000000006</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75.75,10,0,0</v>
      </c>
      <c r="HB25" s="56">
        <f t="shared" si="11"/>
        <v>6</v>
      </c>
      <c r="HC25" s="56">
        <f t="shared" si="12"/>
        <v>9</v>
      </c>
      <c r="HD25" s="55">
        <f t="shared" si="0"/>
        <v>75.75</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29</v>
      </c>
      <c r="HQ25" s="200">
        <v>32</v>
      </c>
      <c r="HR25" s="29">
        <f ca="1">OFFSET($L$5,MIN(HP25,HQ25)+1,MAX(HP25,HQ25)+1)</f>
        <v>19.760000000000002</v>
      </c>
      <c r="HS25" s="5">
        <f ca="1">+(HR25/Input!$D$13)*60</f>
        <v>47.424000000000007</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81.4,10,0,0</v>
      </c>
      <c r="HZ25" s="75">
        <f t="shared" si="23"/>
        <v>5</v>
      </c>
      <c r="IA25" s="75">
        <f t="shared" si="24"/>
        <v>8</v>
      </c>
      <c r="IB25" s="387">
        <f t="shared" si="25"/>
        <v>81.400000000000006</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75.75,10,0,0</v>
      </c>
      <c r="HB26" s="56">
        <f t="shared" si="11"/>
        <v>6</v>
      </c>
      <c r="HC26" s="56">
        <f t="shared" si="12"/>
        <v>9</v>
      </c>
      <c r="HD26" s="55">
        <f t="shared" si="0"/>
        <v>75.75</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32</v>
      </c>
      <c r="HQ26" s="200">
        <v>0</v>
      </c>
      <c r="HR26" s="29">
        <f ca="1">OFFSET($L$5,MIN(HP26,HQ26)+1,MAX(HP26,HQ26)+1)</f>
        <v>2.61</v>
      </c>
      <c r="HS26" s="5">
        <f ca="1">+(HR26/Input!$D$13)*60</f>
        <v>6.2639999999999993</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81.4,10,0,0</v>
      </c>
      <c r="HZ26" s="75">
        <f t="shared" si="23"/>
        <v>5</v>
      </c>
      <c r="IA26" s="75">
        <f t="shared" si="24"/>
        <v>8</v>
      </c>
      <c r="IB26" s="387">
        <f t="shared" si="25"/>
        <v>81.400000000000006</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75.75,10,0,0</v>
      </c>
      <c r="HB27" s="56">
        <f t="shared" si="11"/>
        <v>6</v>
      </c>
      <c r="HC27" s="56">
        <f t="shared" si="12"/>
        <v>9</v>
      </c>
      <c r="HD27" s="108">
        <f t="shared" si="0"/>
        <v>75.75</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22.37</v>
      </c>
      <c r="HS27" s="30">
        <f ca="1">SUM(HS25:HS26)</f>
        <v>53.688000000000002</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81.4,10,0,0</v>
      </c>
      <c r="HZ27" s="75">
        <f t="shared" si="23"/>
        <v>5</v>
      </c>
      <c r="IA27" s="75">
        <f t="shared" si="24"/>
        <v>8</v>
      </c>
      <c r="IB27" s="387">
        <f t="shared" si="25"/>
        <v>81.400000000000006</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75.75,10,0,0</v>
      </c>
      <c r="HB28" s="56">
        <f t="shared" si="11"/>
        <v>6</v>
      </c>
      <c r="HC28" s="56">
        <f t="shared" si="12"/>
        <v>9</v>
      </c>
      <c r="HD28" s="55">
        <f t="shared" si="0"/>
        <v>75.75</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87.89,10,0,0</v>
      </c>
      <c r="HZ28" s="75">
        <f t="shared" si="23"/>
        <v>6</v>
      </c>
      <c r="IA28" s="75">
        <f t="shared" si="24"/>
        <v>9</v>
      </c>
      <c r="IB28" s="387">
        <f t="shared" si="25"/>
        <v>87.89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75.75,10,0,0</v>
      </c>
      <c r="HB29" s="56">
        <f t="shared" si="11"/>
        <v>6</v>
      </c>
      <c r="HC29" s="56">
        <f t="shared" si="12"/>
        <v>9</v>
      </c>
      <c r="HD29" s="55">
        <f t="shared" si="0"/>
        <v>75.75</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81.4,10,0,0</v>
      </c>
      <c r="HZ29" s="75">
        <f t="shared" si="23"/>
        <v>5</v>
      </c>
      <c r="IA29" s="75">
        <f t="shared" si="24"/>
        <v>8</v>
      </c>
      <c r="IB29" s="387">
        <f t="shared" si="25"/>
        <v>81.400000000000006</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75.75,10,0,0</v>
      </c>
      <c r="HB30" s="56">
        <f t="shared" si="11"/>
        <v>6</v>
      </c>
      <c r="HC30" s="56">
        <f t="shared" si="12"/>
        <v>9</v>
      </c>
      <c r="HD30" s="55">
        <f t="shared" si="0"/>
        <v>75.75</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81.4,10,0,0</v>
      </c>
      <c r="HZ30" s="75">
        <f t="shared" si="23"/>
        <v>5</v>
      </c>
      <c r="IA30" s="75">
        <f t="shared" si="24"/>
        <v>8</v>
      </c>
      <c r="IB30" s="387">
        <f t="shared" si="25"/>
        <v>81.400000000000006</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75.75,10,0,0</v>
      </c>
      <c r="HB31" s="56">
        <f t="shared" si="11"/>
        <v>6</v>
      </c>
      <c r="HC31" s="56">
        <f t="shared" si="12"/>
        <v>9</v>
      </c>
      <c r="HD31" s="55">
        <f t="shared" si="0"/>
        <v>75.75</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81.4,10,0,0</v>
      </c>
      <c r="HZ31" s="75">
        <f t="shared" si="23"/>
        <v>5</v>
      </c>
      <c r="IA31" s="75">
        <f t="shared" si="24"/>
        <v>8</v>
      </c>
      <c r="IB31" s="387">
        <f t="shared" si="25"/>
        <v>81.400000000000006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75.75,10,0,0</v>
      </c>
      <c r="HB32" s="56">
        <f t="shared" si="11"/>
        <v>6</v>
      </c>
      <c r="HC32" s="56">
        <f t="shared" si="12"/>
        <v>9</v>
      </c>
      <c r="HD32" s="55">
        <f t="shared" si="0"/>
        <v>75.75</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81.4,10,0,0</v>
      </c>
      <c r="HZ32" s="75">
        <f t="shared" si="23"/>
        <v>5</v>
      </c>
      <c r="IA32" s="75">
        <f t="shared" si="24"/>
        <v>8</v>
      </c>
      <c r="IB32" s="387">
        <f t="shared" si="25"/>
        <v>81.400000000000006</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75.75,10,0,0</v>
      </c>
      <c r="HB33" s="56">
        <f t="shared" si="11"/>
        <v>6</v>
      </c>
      <c r="HC33" s="56">
        <f t="shared" si="12"/>
        <v>9</v>
      </c>
      <c r="HD33" s="55">
        <f t="shared" si="0"/>
        <v>75.75</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81.4,10,0,0</v>
      </c>
      <c r="HZ33" s="75">
        <f t="shared" si="23"/>
        <v>5</v>
      </c>
      <c r="IA33" s="75">
        <f t="shared" si="24"/>
        <v>8</v>
      </c>
      <c r="IB33" s="387">
        <f t="shared" si="25"/>
        <v>81.400000000000006</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75.75,10,0,0</v>
      </c>
      <c r="HB34" s="56">
        <f t="shared" si="11"/>
        <v>6</v>
      </c>
      <c r="HC34" s="56">
        <f t="shared" si="12"/>
        <v>9</v>
      </c>
      <c r="HD34" s="55">
        <f t="shared" si="0"/>
        <v>75.75</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83.56,10,0,0</v>
      </c>
      <c r="HZ34" s="75">
        <f t="shared" si="23"/>
        <v>6</v>
      </c>
      <c r="IA34" s="75">
        <f t="shared" si="24"/>
        <v>9</v>
      </c>
      <c r="IB34" s="387">
        <f t="shared" si="25"/>
        <v>83.56</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75.75,10,0,0</v>
      </c>
      <c r="HB35" s="56">
        <f t="shared" si="11"/>
        <v>6</v>
      </c>
      <c r="HC35" s="56">
        <f t="shared" si="12"/>
        <v>9</v>
      </c>
      <c r="HD35" s="55">
        <f t="shared" si="0"/>
        <v>75.75</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81.4,10,0,0</v>
      </c>
      <c r="HZ35" s="75">
        <f t="shared" si="23"/>
        <v>5</v>
      </c>
      <c r="IA35" s="75">
        <f t="shared" si="24"/>
        <v>8</v>
      </c>
      <c r="IB35" s="387">
        <f t="shared" si="25"/>
        <v>81.400000000000006</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75.75,10,0,0</v>
      </c>
      <c r="HB36" s="56">
        <f t="shared" si="11"/>
        <v>6</v>
      </c>
      <c r="HC36" s="56">
        <f t="shared" si="12"/>
        <v>9</v>
      </c>
      <c r="HD36" s="55">
        <f t="shared" si="0"/>
        <v>75.75</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81.4,10,0,0</v>
      </c>
      <c r="HZ36" s="75">
        <f t="shared" si="23"/>
        <v>5</v>
      </c>
      <c r="IA36" s="75">
        <f t="shared" si="24"/>
        <v>8</v>
      </c>
      <c r="IB36" s="387">
        <f t="shared" si="25"/>
        <v>81.400000000000006</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81.4,10,0,0</v>
      </c>
      <c r="HZ37" s="75">
        <f t="shared" si="23"/>
        <v>5</v>
      </c>
      <c r="IA37" s="75">
        <f t="shared" si="24"/>
        <v>8</v>
      </c>
      <c r="IB37" s="387">
        <f t="shared" si="25"/>
        <v>81.400000000000006</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209.08999999999997</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8</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8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17</v>
      </c>
      <c r="E9" s="394">
        <f>+TCP!HM6</f>
        <v>21.83</v>
      </c>
      <c r="F9" s="237">
        <f ca="1">IF(B9&lt;=$F$4,OFFSET($A$8,D9,0),"")</f>
        <v>1.25</v>
      </c>
      <c r="G9" s="130">
        <v>1</v>
      </c>
      <c r="H9" s="315">
        <f>IF(ISNUMBER(TCP!HP6),TCP!HP6,"")</f>
        <v>8</v>
      </c>
      <c r="I9" s="237">
        <f>IF(ISNUMBER(H9),SUMIF($C$9:$C$193,G9,$E$9:$E$193),"")</f>
        <v>209.08999999999997</v>
      </c>
      <c r="J9" s="238">
        <f ca="1">IF(ISNUMBER(H9),SUMIF($C$9:$C$193,G9,$F$9:$F$193),"")</f>
        <v>10</v>
      </c>
      <c r="K9" s="236">
        <f>IF(ISNUMBER(H9),$H$6,"")</f>
        <v>0.33333333333333331</v>
      </c>
      <c r="L9" s="236">
        <f>IF(ISNUMBER(I9),K9+(I9/$F$6)*(1/24),"")</f>
        <v>0.68181666666666652</v>
      </c>
      <c r="M9" s="252">
        <f>IF(ISNUMBER(D9),D9,"")</f>
        <v>17</v>
      </c>
      <c r="N9" s="239">
        <f ca="1">IF(ISNUMBER(D9),IF(P9=0,OFFSET(TCP!$M$6,0,D9),OFFSET(TCP!$M$6,MIN(M9,P9),MAX(M9,P9))),"")</f>
        <v>21.83</v>
      </c>
      <c r="O9" s="239">
        <f>IF(ISNUMBER(D9),C9,"")</f>
        <v>1</v>
      </c>
      <c r="P9" s="240">
        <f>IF(ISNUMBER(D9),0,"")</f>
        <v>0</v>
      </c>
      <c r="Q9" s="248">
        <f ca="1">+N9</f>
        <v>21.83</v>
      </c>
      <c r="R9" s="258">
        <f ca="1">IF(ISNUMBER(P9),OFFSET($K$8,O9,0)+(Q9/$F$6)*(1/24),"")</f>
        <v>0.36971666666666664</v>
      </c>
      <c r="S9" s="246" t="str">
        <f ca="1">IF(ISNUMBER(R9),TEXT(R9,"H:MM AM/PM"),"")</f>
        <v>8:52 AM</v>
      </c>
      <c r="T9" s="331" t="str">
        <f ca="1">IF(B9&lt;=$F$4,TEXT(OFFSET(Input!$H$18,M9,0),"H:MM AM/PM"),"")</f>
        <v>7:00 AM</v>
      </c>
      <c r="U9" s="248" t="str">
        <f t="shared" ref="U9:U72" ca="1" si="0">IF(ISBLANK(T9),"",T9)</f>
        <v>7:00 AM</v>
      </c>
      <c r="V9" s="1">
        <f ca="1">IF(ISERR(FIND(":",U9)),"",VALUE(FIND(":",U9)))</f>
        <v>2</v>
      </c>
      <c r="W9" s="231" t="str">
        <f ca="1">IF(ISERR(VALUE(V9)),"",MID(U9,1,V9-1))</f>
        <v>7</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0.29166666666666669</v>
      </c>
      <c r="AD9" s="256" cm="1">
        <f t="array" aca="1" ref="AD9" ca="1">IF(B9&lt;=$F$4,SUM(IF(ISNUMBER(AA9:AC9),AA9:AC9)),"")</f>
        <v>0.29166666666666669</v>
      </c>
      <c r="AE9" s="68">
        <f>IF(ISNUMBER(M9),M9,"")</f>
        <v>17</v>
      </c>
      <c r="AF9" s="260" t="str">
        <f ca="1">IF(ISNUMBER(R9),S9,"")</f>
        <v>8:52 AM</v>
      </c>
      <c r="AG9" s="260" t="str">
        <f ca="1">IF(ISNUMBER(AE9),U9,"")</f>
        <v>7:00 AM</v>
      </c>
      <c r="AH9" s="257">
        <f ca="1">IF(ISNUMBER(R9),R9,"")</f>
        <v>0.36971666666666664</v>
      </c>
      <c r="AI9" s="257">
        <f ca="1">IF(ISNUMBER(AD9),AD9,"")</f>
        <v>0.29166666666666669</v>
      </c>
      <c r="AJ9" s="1">
        <f ca="1">IF(B9&lt;=$F$4,IF(AND(ISNUMBER(AH9),AH9&gt;=AI9),1,0),"")</f>
        <v>1</v>
      </c>
      <c r="AK9" s="260" t="str">
        <f ca="1">IF(ISNUMBER(AJ9),+AF9&amp;", "&amp;AG9&amp;", "&amp;AJ9,"")</f>
        <v>8:52 AM, 7:00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6</v>
      </c>
      <c r="E10" s="394">
        <f>+TCP!HM7</f>
        <v>29.8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6</v>
      </c>
      <c r="N10" s="239">
        <f ca="1">IF(ISNUMBER(D10),IF(P10=0,OFFSET(TCP!$M$6,0,D10),OFFSET(TCP!$M$6,MIN(M10,P10),MAX(M10,P10))),"")</f>
        <v>29.8</v>
      </c>
      <c r="O10" s="239">
        <f t="shared" ref="O10:O15" si="8">IF(ISNUMBER(D10),C10,"")</f>
        <v>1</v>
      </c>
      <c r="P10" s="240">
        <f>IF(ISNUMBER(D10),IF(O10=O9,D9,0),"")</f>
        <v>17</v>
      </c>
      <c r="Q10" s="248">
        <f ca="1">IF(ISNUMBER(D10),IF(P10&lt;&gt;0,Q9+N10,N10),"")</f>
        <v>51.629999999999995</v>
      </c>
      <c r="R10" s="258">
        <f t="shared" ref="R10:R40" ca="1" si="9">IF(ISNUMBER(P10),OFFSET($K$8,O10,0)+(Q10/$F$6)*(1/24),"")</f>
        <v>0.41938333333333333</v>
      </c>
      <c r="S10" s="246" t="str">
        <f t="shared" ref="S10:S40" ca="1" si="10">IF(ISNUMBER(R10),TEXT(R10,"H:MM AM/PM"),"")</f>
        <v>10:03 AM</v>
      </c>
      <c r="T10" s="331" t="str">
        <f ca="1">IF(B10&lt;=$F$4,TEXT(OFFSET(Input!$H$18,M10,0),"H:MM AM/PM"),"")</f>
        <v>10:00 AM</v>
      </c>
      <c r="U10" s="248" t="str">
        <f t="shared" ca="1" si="0"/>
        <v>10:00 AM</v>
      </c>
      <c r="V10" s="1">
        <f t="shared" ref="V10:V40" ca="1" si="11">IF(ISERR(FIND(":",U10)),"",VALUE(FIND(":",U10)))</f>
        <v>3</v>
      </c>
      <c r="W10" s="231" t="str">
        <f t="shared" ref="W10:W40" ca="1" si="12">IF(ISERR(VALUE(V10)),"",MID(U10,1,V10-1))</f>
        <v>10</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0.41666666666666669</v>
      </c>
      <c r="AD10" s="256" cm="1">
        <f t="array" aca="1" ref="AD10" ca="1">IF(B10&lt;=$F$4,SUM(IF(ISNUMBER(AA10:AC10),AA10:AC10)),"")</f>
        <v>0.41666666666666669</v>
      </c>
      <c r="AE10" s="68">
        <f t="shared" ref="AE10:AE40" si="19">IF(ISNUMBER(M10),M10,"")</f>
        <v>6</v>
      </c>
      <c r="AF10" s="260" t="str">
        <f t="shared" ref="AF10:AF40" ca="1" si="20">IF(ISNUMBER(R10),S10,"")</f>
        <v>10:03 AM</v>
      </c>
      <c r="AG10" s="260" t="str">
        <f t="shared" ref="AG10:AG40" ca="1" si="21">IF(ISNUMBER(AE10),U10,"")</f>
        <v>10:00 AM</v>
      </c>
      <c r="AH10" s="257">
        <f t="shared" ref="AH10:AH40" ca="1" si="22">IF(ISNUMBER(R10),R10,"")</f>
        <v>0.41938333333333333</v>
      </c>
      <c r="AI10" s="257">
        <f t="shared" ref="AI10:AI40" ca="1" si="23">IF(ISNUMBER(AD10),AD10,"")</f>
        <v>0.41666666666666669</v>
      </c>
      <c r="AJ10" s="1">
        <f t="shared" ref="AJ10:AJ40" ca="1" si="24">IF(B10&lt;=$F$4,IF(AND(ISNUMBER(AH10),AH10&gt;=AI10),1,0),"")</f>
        <v>1</v>
      </c>
      <c r="AK10" s="260" t="str">
        <f t="shared" ref="AK10:AK42" ca="1" si="25">IF(ISNUMBER(AJ10),+AF10&amp;", "&amp;AG10&amp;", "&amp;AJ10,"")</f>
        <v>10:03 AM, 10:00 AM, 1</v>
      </c>
      <c r="AM10" s="319"/>
      <c r="AN10" s="1"/>
    </row>
    <row r="11" spans="1:40" ht="18" x14ac:dyDescent="0.2">
      <c r="A11" s="317">
        <f>IF(B11&lt;=$F$4,Input!D21,"")</f>
        <v>1.25</v>
      </c>
      <c r="B11" s="107">
        <v>3</v>
      </c>
      <c r="C11" s="233">
        <f t="shared" si="1"/>
        <v>1</v>
      </c>
      <c r="D11" s="130">
        <f>+TCP!HL8</f>
        <v>18</v>
      </c>
      <c r="E11" s="394">
        <f>+TCP!HM8</f>
        <v>35.64</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35.64</v>
      </c>
      <c r="O11" s="239">
        <f t="shared" si="8"/>
        <v>1</v>
      </c>
      <c r="P11" s="240">
        <f t="shared" ref="P11:P40" si="26">IF(ISNUMBER(D11),IF(O11=O10,D10,0),"")</f>
        <v>6</v>
      </c>
      <c r="Q11" s="248">
        <f t="shared" ref="Q11:Q43" ca="1" si="27">IF(ISNUMBER(D11),IF(P11&lt;&gt;0,Q10+N11,N11),"")</f>
        <v>87.27</v>
      </c>
      <c r="R11" s="258">
        <f t="shared" ca="1" si="9"/>
        <v>0.47878333333333328</v>
      </c>
      <c r="S11" s="246" t="str">
        <f t="shared" ca="1" si="10"/>
        <v>11:29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11:29 AM</v>
      </c>
      <c r="AG11" s="260" t="str">
        <f t="shared" ca="1" si="21"/>
        <v>7:30 AM</v>
      </c>
      <c r="AH11" s="257">
        <f t="shared" ca="1" si="22"/>
        <v>0.47878333333333328</v>
      </c>
      <c r="AI11" s="257">
        <f t="shared" ca="1" si="23"/>
        <v>0.3125</v>
      </c>
      <c r="AJ11" s="1">
        <f t="shared" ca="1" si="24"/>
        <v>1</v>
      </c>
      <c r="AK11" s="260" t="str">
        <f t="shared" ca="1" si="25"/>
        <v>11:29 AM, 7:30 AM, 1</v>
      </c>
      <c r="AM11" s="319"/>
      <c r="AN11" s="1"/>
    </row>
    <row r="12" spans="1:40" ht="18" x14ac:dyDescent="0.2">
      <c r="A12" s="317">
        <f>IF(B12&lt;=$F$4,Input!D22,"")</f>
        <v>1.25</v>
      </c>
      <c r="B12" s="107">
        <v>4</v>
      </c>
      <c r="C12" s="233">
        <f t="shared" si="1"/>
        <v>1</v>
      </c>
      <c r="D12" s="130">
        <f>+TCP!HL9</f>
        <v>30</v>
      </c>
      <c r="E12" s="394">
        <f>+TCP!HM9</f>
        <v>28.78</v>
      </c>
      <c r="F12" s="237">
        <f t="shared" ca="1" si="2"/>
        <v>1.25</v>
      </c>
      <c r="G12" s="130">
        <v>4</v>
      </c>
      <c r="H12" s="315" t="str">
        <f>IF(ISNUMBER(TCP!HP9),TCP!HP9,"")</f>
        <v/>
      </c>
      <c r="I12" s="237" t="str">
        <f t="shared" si="3"/>
        <v/>
      </c>
      <c r="J12" s="238" t="str">
        <f t="shared" si="4"/>
        <v/>
      </c>
      <c r="K12" s="236" t="str">
        <f t="shared" si="5"/>
        <v/>
      </c>
      <c r="L12" s="236" t="str">
        <f t="shared" si="6"/>
        <v/>
      </c>
      <c r="M12" s="252">
        <f t="shared" si="7"/>
        <v>30</v>
      </c>
      <c r="N12" s="239">
        <f ca="1">IF(ISNUMBER(D12),IF(P12=0,OFFSET(TCP!$M$6,0,D12),OFFSET(TCP!$M$6,MIN(M12,P12),MAX(M12,P12))),"")</f>
        <v>28.78</v>
      </c>
      <c r="O12" s="239">
        <f t="shared" si="8"/>
        <v>1</v>
      </c>
      <c r="P12" s="240">
        <f t="shared" si="26"/>
        <v>18</v>
      </c>
      <c r="Q12" s="248">
        <f t="shared" ca="1" si="27"/>
        <v>116.05</v>
      </c>
      <c r="R12" s="258">
        <f t="shared" ca="1" si="9"/>
        <v>0.52674999999999994</v>
      </c>
      <c r="S12" s="246" t="str">
        <f t="shared" ca="1" si="10"/>
        <v>12:38 PM</v>
      </c>
      <c r="T12" s="331" t="str">
        <f ca="1">IF(B12&lt;=$F$4,TEXT(OFFSET(Input!$H$18,M12,0),"H:MM AM/PM"),"")</f>
        <v>6:00 AM</v>
      </c>
      <c r="U12" s="248" t="str">
        <f t="shared" ca="1" si="0"/>
        <v>6:00 AM</v>
      </c>
      <c r="V12" s="1">
        <f t="shared" ca="1" si="11"/>
        <v>2</v>
      </c>
      <c r="W12" s="231" t="str">
        <f t="shared" ca="1" si="12"/>
        <v>6</v>
      </c>
      <c r="X12" s="231" t="str">
        <f t="shared" ca="1" si="13"/>
        <v>00</v>
      </c>
      <c r="Y12" s="1" t="str">
        <f t="shared" ca="1" si="14"/>
        <v>AM</v>
      </c>
      <c r="Z12" s="31">
        <f t="shared" ca="1" si="15"/>
        <v>0</v>
      </c>
      <c r="AA12" s="258" t="str">
        <f t="shared" ca="1" si="16"/>
        <v/>
      </c>
      <c r="AB12" s="256" t="str">
        <f t="shared" ca="1" si="17"/>
        <v/>
      </c>
      <c r="AC12" s="256">
        <f t="shared" ca="1" si="18"/>
        <v>0.25</v>
      </c>
      <c r="AD12" s="256" cm="1">
        <f t="array" aca="1" ref="AD12" ca="1">IF(B12&lt;=$F$4,SUM(IF(ISNUMBER(AA12:AC12),AA12:AC12)),"")</f>
        <v>0.25</v>
      </c>
      <c r="AE12" s="68">
        <f t="shared" si="19"/>
        <v>30</v>
      </c>
      <c r="AF12" s="260" t="str">
        <f t="shared" ca="1" si="20"/>
        <v>12:38 PM</v>
      </c>
      <c r="AG12" s="260" t="str">
        <f t="shared" ca="1" si="21"/>
        <v>6:00 AM</v>
      </c>
      <c r="AH12" s="257">
        <f t="shared" ca="1" si="22"/>
        <v>0.52674999999999994</v>
      </c>
      <c r="AI12" s="257">
        <f t="shared" ca="1" si="23"/>
        <v>0.25</v>
      </c>
      <c r="AJ12" s="1">
        <f t="shared" ca="1" si="24"/>
        <v>1</v>
      </c>
      <c r="AK12" s="260" t="str">
        <f t="shared" ca="1" si="25"/>
        <v>12:38 PM, 6:00 AM, 1</v>
      </c>
      <c r="AM12" s="319"/>
      <c r="AN12" s="1"/>
    </row>
    <row r="13" spans="1:40" ht="18" x14ac:dyDescent="0.2">
      <c r="A13" s="317">
        <f>IF(B13&lt;=$F$4,Input!D23,"")</f>
        <v>1.25</v>
      </c>
      <c r="B13" s="107">
        <v>5</v>
      </c>
      <c r="C13" s="233">
        <f t="shared" si="1"/>
        <v>1</v>
      </c>
      <c r="D13" s="130">
        <f>+TCP!HL10</f>
        <v>16</v>
      </c>
      <c r="E13" s="394">
        <f>+TCP!HM10</f>
        <v>25.93</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16</v>
      </c>
      <c r="N13" s="239">
        <f ca="1">IF(ISNUMBER(D13),IF(P13=0,OFFSET(TCP!$M$6,0,D13),OFFSET(TCP!$M$6,MIN(M13,P13),MAX(M13,P13))),"")</f>
        <v>25.93</v>
      </c>
      <c r="O13" s="239">
        <f t="shared" si="8"/>
        <v>1</v>
      </c>
      <c r="P13" s="240">
        <f t="shared" si="26"/>
        <v>30</v>
      </c>
      <c r="Q13" s="248">
        <f t="shared" ca="1" si="27"/>
        <v>141.97999999999999</v>
      </c>
      <c r="R13" s="258">
        <f t="shared" ca="1" si="9"/>
        <v>0.56996666666666662</v>
      </c>
      <c r="S13" s="246" t="str">
        <f t="shared" ca="1" si="10"/>
        <v>1:40 PM</v>
      </c>
      <c r="T13" s="331" t="str">
        <f ca="1">IF(B13&lt;=$F$4,TEXT(OFFSET(Input!$H$18,M13,0),"H:MM AM/PM"),"")</f>
        <v>8:00 AM</v>
      </c>
      <c r="U13" s="248" t="str">
        <f t="shared" ca="1" si="0"/>
        <v>8:00 AM</v>
      </c>
      <c r="V13" s="1">
        <f t="shared" ca="1" si="11"/>
        <v>2</v>
      </c>
      <c r="W13" s="231" t="str">
        <f t="shared" ca="1" si="12"/>
        <v>8</v>
      </c>
      <c r="X13" s="231" t="str">
        <f t="shared" ca="1" si="13"/>
        <v>00</v>
      </c>
      <c r="Y13" s="1" t="str">
        <f t="shared" ca="1" si="14"/>
        <v>AM</v>
      </c>
      <c r="Z13" s="31">
        <f t="shared" ca="1" si="15"/>
        <v>0</v>
      </c>
      <c r="AA13" s="258" t="str">
        <f t="shared" ca="1" si="16"/>
        <v/>
      </c>
      <c r="AB13" s="256" t="str">
        <f t="shared" ca="1" si="17"/>
        <v/>
      </c>
      <c r="AC13" s="256">
        <f t="shared" ca="1" si="18"/>
        <v>0.33333333333333331</v>
      </c>
      <c r="AD13" s="256" cm="1">
        <f t="array" aca="1" ref="AD13" ca="1">IF(B13&lt;=$F$4,SUM(IF(ISNUMBER(AA13:AC13),AA13:AC13)),"")</f>
        <v>0.33333333333333331</v>
      </c>
      <c r="AE13" s="68">
        <f t="shared" si="19"/>
        <v>16</v>
      </c>
      <c r="AF13" s="260" t="str">
        <f t="shared" ca="1" si="20"/>
        <v>1:40 PM</v>
      </c>
      <c r="AG13" s="260" t="str">
        <f t="shared" ca="1" si="21"/>
        <v>8:00 AM</v>
      </c>
      <c r="AH13" s="257">
        <f t="shared" ca="1" si="22"/>
        <v>0.56996666666666662</v>
      </c>
      <c r="AI13" s="257">
        <f t="shared" ca="1" si="23"/>
        <v>0.33333333333333331</v>
      </c>
      <c r="AJ13" s="1">
        <f t="shared" ca="1" si="24"/>
        <v>1</v>
      </c>
      <c r="AK13" s="260" t="str">
        <f t="shared" ca="1" si="25"/>
        <v>1:40 PM, 8:00 AM, 1</v>
      </c>
      <c r="AM13" s="319"/>
      <c r="AN13" s="1"/>
    </row>
    <row r="14" spans="1:40" ht="18" x14ac:dyDescent="0.2">
      <c r="A14" s="317">
        <f>IF(B14&lt;=$F$4,Input!D24,"")</f>
        <v>1.25</v>
      </c>
      <c r="B14" s="107">
        <v>6</v>
      </c>
      <c r="C14" s="233">
        <f t="shared" si="1"/>
        <v>1</v>
      </c>
      <c r="D14" s="130">
        <f>+TCP!HL11</f>
        <v>28</v>
      </c>
      <c r="E14" s="394">
        <f>+TCP!HM11</f>
        <v>25.7</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25.7</v>
      </c>
      <c r="O14" s="239">
        <f t="shared" si="8"/>
        <v>1</v>
      </c>
      <c r="P14" s="240">
        <f t="shared" si="26"/>
        <v>16</v>
      </c>
      <c r="Q14" s="248">
        <f t="shared" ca="1" si="27"/>
        <v>167.67999999999998</v>
      </c>
      <c r="R14" s="258">
        <f t="shared" ca="1" si="9"/>
        <v>0.61280000000000001</v>
      </c>
      <c r="S14" s="246" t="str">
        <f t="shared" ca="1" si="10"/>
        <v>2:42 PM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2:42 PM</v>
      </c>
      <c r="AG14" s="260" t="str">
        <f t="shared" ca="1" si="21"/>
        <v>6:00 AM</v>
      </c>
      <c r="AH14" s="257">
        <f t="shared" ca="1" si="22"/>
        <v>0.61280000000000001</v>
      </c>
      <c r="AI14" s="257">
        <f t="shared" ca="1" si="23"/>
        <v>0.25</v>
      </c>
      <c r="AJ14" s="1">
        <f t="shared" ca="1" si="24"/>
        <v>1</v>
      </c>
      <c r="AK14" s="260" t="str">
        <f t="shared" ca="1" si="25"/>
        <v>2:42 PM, 6:00 AM, 1</v>
      </c>
      <c r="AM14" s="319"/>
      <c r="AN14" s="1"/>
    </row>
    <row r="15" spans="1:40" ht="13" customHeight="1" x14ac:dyDescent="0.2">
      <c r="A15" s="317">
        <f>IF(B15&lt;=$F$4,Input!D25,"")</f>
        <v>1.25</v>
      </c>
      <c r="B15" s="107">
        <v>7</v>
      </c>
      <c r="C15" s="233">
        <f t="shared" si="1"/>
        <v>1</v>
      </c>
      <c r="D15" s="130">
        <f>+TCP!HL12</f>
        <v>29</v>
      </c>
      <c r="E15" s="394">
        <f>+TCP!HM12</f>
        <v>19.04</v>
      </c>
      <c r="F15" s="237">
        <f t="shared" ca="1" si="2"/>
        <v>1.25</v>
      </c>
      <c r="G15" s="130">
        <v>7</v>
      </c>
      <c r="H15" s="315" t="str">
        <f>IF(ISNUMBER(TCP!HP12),TCP!HP12,"")</f>
        <v/>
      </c>
      <c r="I15" s="237" t="str">
        <f t="shared" si="3"/>
        <v/>
      </c>
      <c r="J15" s="238" t="str">
        <f t="shared" si="4"/>
        <v/>
      </c>
      <c r="K15" s="236" t="str">
        <f t="shared" si="5"/>
        <v/>
      </c>
      <c r="L15" s="236" t="str">
        <f t="shared" si="28"/>
        <v/>
      </c>
      <c r="M15" s="252">
        <f t="shared" si="7"/>
        <v>29</v>
      </c>
      <c r="N15" s="239">
        <f ca="1">IF(ISNUMBER(D15),IF(P15=0,OFFSET(TCP!$M$6,0,D15),OFFSET(TCP!$M$6,MIN(M15,P15),MAX(M15,P15))),"")</f>
        <v>19.04</v>
      </c>
      <c r="O15" s="239">
        <f t="shared" si="8"/>
        <v>1</v>
      </c>
      <c r="P15" s="240">
        <f t="shared" si="26"/>
        <v>28</v>
      </c>
      <c r="Q15" s="248">
        <f t="shared" ca="1" si="27"/>
        <v>186.71999999999997</v>
      </c>
      <c r="R15" s="258">
        <f t="shared" ca="1" si="9"/>
        <v>0.64453333333333318</v>
      </c>
      <c r="S15" s="246" t="str">
        <f t="shared" ca="1" si="10"/>
        <v>3:28 PM</v>
      </c>
      <c r="T15" s="331" t="str">
        <f ca="1">IF(B15&lt;=$F$4,TEXT(OFFSET(Input!$H$18,M15,0),"H:MM AM/PM"),"")</f>
        <v>9:00 AM</v>
      </c>
      <c r="U15" s="248" t="str">
        <f t="shared" ca="1" si="0"/>
        <v>9:00 AM</v>
      </c>
      <c r="V15" s="1">
        <f t="shared" ca="1" si="11"/>
        <v>2</v>
      </c>
      <c r="W15" s="231" t="str">
        <f t="shared" ca="1" si="12"/>
        <v>9</v>
      </c>
      <c r="X15" s="231" t="str">
        <f t="shared" ca="1" si="13"/>
        <v>00</v>
      </c>
      <c r="Y15" s="1" t="str">
        <f t="shared" ca="1" si="14"/>
        <v>AM</v>
      </c>
      <c r="Z15" s="31">
        <f t="shared" ca="1" si="15"/>
        <v>0</v>
      </c>
      <c r="AA15" s="258" t="str">
        <f t="shared" ca="1" si="16"/>
        <v/>
      </c>
      <c r="AB15" s="256" t="str">
        <f t="shared" ca="1" si="17"/>
        <v/>
      </c>
      <c r="AC15" s="256">
        <f t="shared" ca="1" si="18"/>
        <v>0.375</v>
      </c>
      <c r="AD15" s="256" cm="1">
        <f t="array" aca="1" ref="AD15" ca="1">IF(B15&lt;=$F$4,SUM(IF(ISNUMBER(AA15:AC15),AA15:AC15)),"")</f>
        <v>0.375</v>
      </c>
      <c r="AE15" s="68">
        <f t="shared" si="19"/>
        <v>29</v>
      </c>
      <c r="AF15" s="260" t="str">
        <f t="shared" ca="1" si="20"/>
        <v>3:28 PM</v>
      </c>
      <c r="AG15" s="260" t="str">
        <f t="shared" ca="1" si="21"/>
        <v>9:00 AM</v>
      </c>
      <c r="AH15" s="257">
        <f t="shared" ca="1" si="22"/>
        <v>0.64453333333333318</v>
      </c>
      <c r="AI15" s="257">
        <f t="shared" ca="1" si="23"/>
        <v>0.375</v>
      </c>
      <c r="AJ15" s="1">
        <f t="shared" ca="1" si="24"/>
        <v>1</v>
      </c>
      <c r="AK15" s="260" t="str">
        <f t="shared" ca="1" si="25"/>
        <v>3:28 PM, 9:00 AM, 1</v>
      </c>
      <c r="AM15" s="319"/>
      <c r="AN15" s="1"/>
    </row>
    <row r="16" spans="1:40" ht="18" x14ac:dyDescent="0.2">
      <c r="A16" s="317">
        <f>IF(B16&lt;=$F$4,Input!D26,"")</f>
        <v>1.25</v>
      </c>
      <c r="B16" s="107">
        <v>8</v>
      </c>
      <c r="C16" s="233">
        <f t="shared" si="1"/>
        <v>1</v>
      </c>
      <c r="D16" s="130">
        <f>+TCP!HL13</f>
        <v>32</v>
      </c>
      <c r="E16" s="394">
        <f>+TCP!HM13</f>
        <v>22.37</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19.760000000000002</v>
      </c>
      <c r="O16" s="239">
        <f t="shared" ref="O16:O40" si="29">IF(ISNUMBER(D16),C16,"")</f>
        <v>1</v>
      </c>
      <c r="P16" s="240">
        <f t="shared" si="26"/>
        <v>29</v>
      </c>
      <c r="Q16" s="248">
        <f t="shared" ca="1" si="27"/>
        <v>206.47999999999996</v>
      </c>
      <c r="R16" s="258">
        <f t="shared" ca="1" si="9"/>
        <v>0.67746666666666655</v>
      </c>
      <c r="S16" s="246" t="str">
        <f t="shared" ca="1" si="10"/>
        <v>4:15 PM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4:15 PM</v>
      </c>
      <c r="AG16" s="260" t="str">
        <f t="shared" ca="1" si="21"/>
        <v>8:00 AM</v>
      </c>
      <c r="AH16" s="257">
        <f t="shared" ca="1" si="22"/>
        <v>0.67746666666666655</v>
      </c>
      <c r="AI16" s="257">
        <f t="shared" ca="1" si="23"/>
        <v>0.33333333333333331</v>
      </c>
      <c r="AJ16" s="1">
        <f t="shared" ca="1" si="24"/>
        <v>1</v>
      </c>
      <c r="AK16" s="260" t="str">
        <f t="shared" ca="1" si="25"/>
        <v>4:15 PM, 8:00 AM, 1</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2025-04-20T00:11:13Z</dcterms:modified>
</cp:coreProperties>
</file>